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95" yWindow="0" windowWidth="15105" windowHeight="1258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<sst xmlns="http://schemas.openxmlformats.org/spreadsheetml/2006/main" count="4191" uniqueCount="974">
  <si>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</si>
  <si>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</si>
  <si>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</si>
  <si>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</si>
  <si>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</si>
  <si>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</si>
  <si>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</si>
  <si>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</si>
  <si>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</si>
  <si>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</si>
  <si>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</si>
  <si>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</si>
  <si>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</si>
  <si>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</si>
  <si>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</si>
  <si>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</si>
  <si>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</si>
  <si>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</si>
  <si>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</si>
  <si>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</si>
  <si>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</si>
  <si>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</si>
  <si>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</si>
  <si>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</si>
  <si>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</si>
  <si>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</si>
  <si>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</si>
  <si>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</si>
  <si>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</si>
  <si>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</si>
  <si>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</si>
  <si>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</si>
  <si>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</si>
  <si>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</si>
  <si>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</si>
  <si>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</si>
  <si>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</si>
  <si>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</si>
  <si>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</si>
  <si>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</si>
  <si>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</si>
  <si>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</si>
  <si>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</si>
  <si>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</si>
  <si>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</si>
  <si>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</si>
  <si>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</si>
  <si>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</si>
  <si>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</si>
  <si>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</si>
  <si>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</si>
  <si>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</si>
  <si>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</si>
  <si>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</si>
  <si>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</si>
  <si>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</si>
  <si>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</si>
  <si>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</si>
  <si>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</si>
  <si>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</si>
  <si>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</si>
  <si>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</si>
  <si>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</si>
  <si>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</si>
  <si>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</si>
  <si>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</si>
  <si>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</si>
  <si>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</si>
  <si>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</si>
  <si>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</si>
  <si>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</si>
  <si>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</si>
  <si>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</si>
  <si>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</si>
  <si>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</si>
  <si>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</si>
  <si>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</si>
  <si>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</si>
  <si>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</si>
  <si>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</si>
  <si>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</si>
  <si>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</si>
  <si>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</si>
  <si>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</si>
  <si>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</si>
  <si>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</si>
  <si>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</si>
  <si>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</si>
  <si>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</si>
  <si>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</si>
  <si>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</si>
  <si>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</si>
  <si>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</si>
  <si>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</si>
  <si>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</si>
  <si>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</si>
  <si>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</si>
  <si>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</si>
  <si>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</si>
  <si>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</si>
  <si>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</si>
  <si>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</si>
  <si>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</si>
  <si>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</si>
  <si>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</si>
  <si>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</si>
  <si>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</si>
  <si>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</si>
  <si>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</si>
  <si>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</si>
  <si>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</si>
  <si>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</si>
  <si>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</si>
  <si>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</si>
  <si>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</si>
  <si>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</si>
  <si>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</si>
  <si>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</si>
  <si>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</si>
  <si>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</si>
  <si>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</si>
  <si>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</si>
  <si>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</si>
  <si>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</si>
  <si>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</si>
  <si>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</si>
  <si>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</si>
  <si>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</si>
  <si>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</si>
  <si>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</si>
  <si>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</si>
  <si>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</si>
  <si>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</si>
  <si>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</si>
  <si>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</si>
  <si>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</si>
  <si>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</si>
  <si>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</si>
  <si>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</si>
  <si>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</si>
  <si>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</si>
  <si>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</si>
  <si>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</si>
  <si>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</si>
  <si>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</si>
  <si>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</si>
  <si>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</si>
  <si>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</si>
  <si>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</si>
  <si>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</si>
  <si>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</si>
  <si>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</si>
  <si>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</si>
  <si>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</si>
  <si>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</si>
  <si>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</si>
  <si>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</si>
  <si>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</si>
  <si>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</si>
  <si>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</si>
  <si>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</si>
  <si>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</si>
  <si>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</si>
  <si>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</si>
  <si>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</si>
  <si>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</si>
  <si>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</si>
  <si>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</si>
  <si>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</si>
  <si>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</si>
  <si>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</si>
  <si>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</si>
  <si>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</si>
  <si>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</si>
  <si>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</si>
  <si>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</si>
  <si>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</si>
  <si>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</si>
  <si>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</si>
  <si>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</si>
  <si>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</si>
  <si>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</si>
  <si>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</si>
  <si>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</si>
  <si>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</si>
  <si>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</si>
  <si>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</si>
  <si>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</si>
  <si>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</si>
  <si>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</si>
  <si>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</si>
  <si>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</si>
  <si>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</si>
  <si>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</si>
  <si>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</si>
  <si>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</si>
  <si>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</si>
  <si>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</si>
  <si>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</si>
  <si>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</si>
  <si>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</si>
  <si>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</si>
  <si>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</si>
  <si>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</si>
  <si>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</si>
  <si>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</si>
  <si>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</si>
  <si>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</si>
  <si>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</si>
  <si>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</si>
  <si>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</si>
  <si>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</si>
  <si>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</si>
  <si>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</si>
  <si>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</si>
  <si>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</si>
  <si>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</si>
  <si>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</si>
  <si>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</si>
  <si>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</si>
  <si>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</si>
  <si>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</si>
  <si>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</si>
  <si>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</si>
  <si>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</si>
  <si>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</si>
  <si>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</si>
  <si>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</si>
  <si>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</si>
  <si>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</si>
  <si>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</si>
  <si>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</si>
  <si>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</si>
  <si>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</si>
  <si>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</si>
  <si>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</si>
  <si>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</si>
  <si>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</si>
  <si>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</si>
  <si>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</si>
  <si>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</si>
  <si>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</si>
  <si>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</si>
  <si>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</si>
  <si>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</si>
  <si>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</si>
  <si>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</si>
  <si>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</si>
  <si>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</si>
  <si>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</si>
  <si>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</si>
  <si>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</si>
  <si>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</si>
  <si>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</si>
  <si>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</si>
  <si>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</si>
  <si>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</si>
  <si>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</si>
  <si>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</si>
  <si>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</si>
  <si>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</si>
  <si>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</si>
  <si>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</si>
  <si>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</si>
  <si>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</si>
  <si>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</si>
  <si>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</si>
  <si>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</si>
  <si>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</si>
  <si>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</si>
  <si>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</si>
  <si>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</si>
  <si>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</si>
  <si>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</si>
  <si>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</si>
  <si>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</si>
  <si>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</si>
  <si>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</si>
  <si>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</si>
  <si>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</si>
  <si>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</si>
  <si>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</si>
  <si>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</si>
  <si>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</si>
  <si>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</si>
  <si>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</si>
  <si>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</si>
  <si>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</si>
  <si>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</si>
  <si>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</si>
  <si>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</si>
  <si>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</si>
  <si>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</si>
  <si>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</si>
  <si>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</si>
  <si>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</si>
  <si>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</si>
  <si>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</si>
  <si>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</si>
  <si>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</si>
  <si>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</si>
  <si>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</si>
  <si>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</si>
  <si>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</si>
  <si>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</si>
  <si>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</si>
  <si>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</si>
  <si>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</si>
  <si>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</si>
  <si>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</si>
  <si>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</si>
  <si>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</si>
  <si>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</si>
  <si>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</si>
  <si>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</si>
  <si>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</si>
  <si>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</si>
  <si>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</si>
  <si>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</si>
  <si>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</si>
  <si>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</si>
  <si>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</si>
  <si>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</si>
  <si>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</si>
  <si>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</si>
  <si>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</si>
  <si>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</si>
  <si>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</si>
  <si>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</si>
  <si>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</si>
  <si>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</si>
  <si>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</si>
  <si>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</si>
  <si>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</si>
  <si>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</si>
  <si>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</si>
  <si>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</si>
  <si>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</si>
  <si>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</si>
  <si>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</si>
  <si>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</si>
  <si>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</si>
  <si>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</si>
  <si>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</si>
  <si>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</si>
  <si>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</si>
  <si>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</si>
  <si>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</si>
  <si>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</si>
  <si>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</si>
  <si>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</si>
  <si>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</si>
  <si>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</si>
  <si>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</si>
  <si>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</si>
  <si>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</si>
  <si>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</si>
  <si>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</si>
  <si>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</si>
  <si>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</si>
  <si>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</si>
  <si>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</si>
  <si>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</si>
  <si>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</si>
  <si>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</si>
  <si>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</si>
  <si>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</si>
  <si>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</si>
  <si>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</si>
  <si>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</si>
  <si>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</si>
  <si>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</si>
  <si>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</si>
  <si>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</si>
  <si>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</si>
  <si>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</si>
  <si>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</si>
  <si>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</si>
  <si>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</si>
  <si>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</si>
  <si>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</si>
  <si>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</si>
  <si>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</si>
  <si>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</si>
  <si>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</si>
  <si>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</si>
  <si>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</si>
  <si>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</si>
  <si>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</si>
  <si>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</si>
  <si>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</si>
  <si>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</si>
  <si>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</si>
  <si>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</si>
  <si>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</si>
  <si>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</si>
  <si>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</si>
  <si>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</si>
  <si>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</si>
  <si>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</si>
  <si>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</si>
  <si>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</si>
  <si>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</si>
  <si>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</si>
  <si>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</si>
  <si>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</si>
  <si>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</si>
  <si>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</si>
  <si>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</si>
  <si>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</si>
  <si>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</si>
  <si>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</si>
  <si>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</si>
  <si>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</si>
  <si>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</si>
  <si>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</si>
  <si>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</si>
  <si>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</si>
  <si>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</si>
  <si>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</si>
  <si>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</si>
  <si>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</si>
  <si>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</si>
  <si>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</si>
  <si>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</si>
  <si>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</si>
  <si>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</si>
  <si>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</si>
  <si>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</si>
  <si>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</si>
  <si>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</si>
  <si>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</si>
  <si>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</si>
  <si>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</si>
  <si>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</si>
  <si>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</si>
  <si>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</si>
  <si>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</si>
  <si>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</si>
  <si>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</si>
  <si>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</si>
  <si>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</si>
  <si>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</si>
  <si>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</si>
  <si>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</si>
  <si>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</si>
  <si>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</si>
  <si>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</si>
  <si>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</si>
  <si>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</si>
  <si>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</si>
  <si>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</si>
  <si>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</si>
  <si>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</si>
  <si>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</si>
  <si>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</si>
  <si>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</si>
  <si>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</si>
  <si>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</si>
  <si>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</si>
  <si>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</si>
  <si>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</si>
  <si>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</si>
  <si>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</si>
  <si>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</si>
  <si>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</si>
  <si>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</si>
  <si>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</si>
  <si>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</si>
  <si>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</si>
  <si>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</si>
  <si>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</si>
  <si>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</si>
  <si>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</si>
  <si>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</si>
  <si>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</si>
  <si>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</si>
  <si>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</si>
  <si>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</si>
  <si>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</si>
  <si>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</si>
  <si>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</si>
  <si>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</si>
  <si>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</si>
  <si>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</si>
  <si>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</si>
  <si>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</si>
  <si>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</si>
  <si>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</si>
  <si>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</si>
  <si>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</si>
  <si>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</si>
  <si>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</si>
  <si>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</si>
  <si>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</si>
  <si>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</si>
  <si>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</si>
  <si>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</si>
  <si>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</si>
  <si>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</si>
  <si>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</si>
  <si>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</si>
  <si>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</si>
  <si>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</si>
  <si>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</si>
  <si>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</si>
  <si>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</si>
  <si>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</si>
  <si>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</si>
  <si>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</si>
  <si>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</si>
  <si>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</si>
  <si>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</si>
  <si>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</si>
  <si>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</si>
  <si>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</si>
  <si>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</si>
  <si>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</si>
  <si>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</si>
  <si>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</si>
  <si>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</si>
  <si>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</si>
  <si>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</si>
  <si>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</si>
  <si>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</si>
  <si>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</si>
  <si>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</si>
  <si>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</si>
  <si>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</si>
  <si>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</si>
  <si>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</si>
  <si>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</si>
  <si>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</si>
  <si>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</si>
  <si>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</si>
  <si>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</si>
  <si>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</si>
  <si>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</si>
  <si>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</si>
  <si>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</si>
  <si>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</si>
  <si>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</si>
  <si>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</si>
  <si>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</si>
  <si>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</si>
  <si>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</si>
  <si>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</si>
  <si>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</si>
  <si>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</si>
  <si>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</si>
  <si>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</si>
  <si>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</si>
  <si>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</si>
  <si>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</si>
  <si>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</si>
  <si>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</si>
  <si>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</si>
  <si>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</si>
  <si>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</si>
  <si>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</si>
  <si>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</si>
  <si>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</si>
  <si>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</si>
  <si>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</si>
  <si>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</si>
  <si>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</si>
  <si>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</si>
  <si>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</si>
  <si>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</si>
  <si>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</si>
  <si>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</si>
  <si>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</si>
  <si>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</si>
  <si>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</si>
  <si>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</si>
  <si>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</si>
  <si>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</si>
  <si>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</si>
  <si>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</si>
  <si>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</si>
  <si>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</si>
  <si>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</si>
  <si>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</si>
  <si>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</si>
  <si>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</si>
  <si>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</si>
  <si>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</si>
  <si>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</si>
  <si>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</si>
  <si>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</si>
  <si>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</si>
  <si>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</si>
  <si>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</si>
  <si>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</si>
  <si>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</si>
  <si>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</si>
  <si>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</si>
  <si>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</si>
  <si>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</si>
  <si>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</si>
  <si>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</si>
  <si>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</si>
  <si>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</si>
  <si>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</si>
  <si>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</si>
  <si>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</si>
  <si>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</si>
  <si>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</si>
  <si>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</si>
  <si>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</si>
  <si>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</si>
  <si>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</si>
  <si>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</si>
  <si>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</si>
  <si>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</si>
  <si>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</si>
  <si>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</si>
  <si>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</si>
  <si>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</si>
  <si>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</si>
  <si>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</si>
  <si>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</si>
  <si>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</si>
  <si>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</si>
  <si>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</si>
  <si>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</si>
  <si>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</si>
  <si>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</si>
  <si>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</si>
  <si>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</si>
  <si>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</si>
  <si>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</si>
  <si>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</si>
  <si>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</si>
  <si>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</si>
  <si>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</si>
  <si>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</si>
  <si>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</si>
  <si>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</si>
  <si>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</si>
  <si>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</si>
  <si>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</si>
  <si>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</si>
  <si>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</si>
  <si>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</si>
  <si>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</si>
  <si>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</si>
  <si>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</si>
  <si>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</si>
  <si>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</si>
  <si>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</si>
  <si>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</si>
  <si>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</si>
  <si>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</si>
  <si>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</si>
  <si>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</si>
  <si>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</si>
  <si>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</si>
  <si>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</si>
  <si>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</si>
  <si>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</si>
  <si>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</si>
  <si>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</si>
  <si>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</si>
  <si>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</si>
  <si>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</si>
  <si>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</si>
  <si>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</si>
  <si>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</si>
  <si>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</si>
  <si>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</si>
  <si>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</si>
  <si>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</si>
  <si>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</si>
  <si>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</si>
  <si>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</si>
  <si>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</si>
  <si>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</si>
  <si>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</si>
  <si>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</si>
  <si>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</si>
  <si>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</si>
  <si>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</si>
  <si>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</si>
  <si>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</si>
  <si>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</si>
  <si>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</si>
  <si>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</si>
  <si>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</si>
  <si>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</si>
  <si>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</si>
  <si>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</si>
  <si>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</si>
  <si>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</si>
  <si>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</si>
  <si>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</si>
  <si>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</si>
  <si>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</si>
  <si>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</si>
  <si>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</si>
  <si>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</si>
  <si>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</si>
  <si>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</si>
  <si>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</si>
  <si>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</si>
  <si>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</si>
  <si>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</si>
  <si>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</si>
  <si>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</si>
  <si>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</si>
  <si>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</si>
  <si>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</si>
  <si>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</si>
  <si>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</si>
  <si>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</si>
  <si>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</si>
  <si>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</si>
  <si>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</si>
  <si>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</si>
  <si>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</si>
  <si>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</si>
  <si>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</si>
  <si>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</si>
  <si>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</si>
  <si>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</si>
  <si>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</si>
  <si>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</si>
  <si>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</si>
  <si>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</si>
  <si>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</si>
  <si>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</si>
  <si>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</si>
  <si>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</si>
  <si>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</si>
  <si>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</si>
  <si>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</si>
  <si>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</si>
  <si>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</si>
  <si>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</si>
  <si>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</si>
  <si>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</si>
  <si>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</si>
  <si>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</si>
  <si>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</si>
  <si>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</si>
  <si>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</si>
  <si>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</si>
  <si>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</si>
  <si>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</si>
  <si>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</si>
  <si>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</si>
  <si>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</si>
  <si>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</si>
  <si>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</si>
  <si>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</si>
  <si>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</si>
  <si>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</si>
  <si>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</si>
  <si>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</si>
  <si>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</si>
  <si>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</si>
  <si>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</si>
  <si>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</si>
  <si>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</si>
  <si>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</si>
  <si>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</si>
  <si>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</si>
  <si>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</si>
  <si>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</si>
  <si>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</si>
  <si>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</si>
  <si>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</si>
  <si>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</si>
  <si>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</si>
  <si>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</si>
  <si>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</si>
  <si>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</si>
  <si>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</si>
  <si>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</si>
  <si>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</si>
  <si>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</si>
  <si>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</si>
  <si>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</si>
  <si>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</si>
  <si>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</si>
  <si>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</si>
  <si>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</si>
  <si>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</si>
  <si>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</si>
  <si>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</si>
  <si>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</si>
  <si>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</si>
  <si>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</si>
  <si>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</si>
  <si>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</si>
  <si>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</si>
  <si>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</si>
  <si>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</si>
  <si>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</si>
  <si>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</si>
  <si>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</si>
  <si>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</si>
  <si>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</si>
  <si>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</si>
  <si>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</si>
  <si>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</si>
  <si>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</si>
  <si>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</si>
  <si>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</si>
  <si>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</si>
  <si>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</si>
  <si>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</si>
  <si>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</si>
  <si>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</si>
  <si>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</si>
  <si>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</si>
  <si>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</si>
  <si>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</si>
  <si>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</si>
  <si>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</si>
  <si>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</si>
  <si>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</si>
  <si>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</si>
  <si>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</si>
  <si>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</si>
  <si>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</si>
  <si>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</si>
  <si>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</si>
  <si>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</si>
  <si>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</si>
  <si>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</si>
  <si>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</si>
  <si>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</si>
  <si>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</si>
  <si>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</si>
  <si>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</si>
  <si>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</si>
  <si>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</si>
  <si>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</si>
  <si>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</si>
  <si>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</si>
  <si>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</si>
  <si>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</si>
  <si>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</si>
  <si>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</si>
  <si>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</si>
  <si>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</si>
  <si>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</si>
  <si>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</si>
  <si>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</si>
  <si>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</si>
  <si>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</si>
  <si>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</si>
  <si>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</si>
  <si>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</si>
  <si>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</si>
  <si>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</si>
  <si>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</si>
  <si>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</si>
  <si>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</si>
  <si>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</si>
  <si>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</si>
  <si>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</si>
  <si>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</si>
  <si>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</si>
  <si>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</si>
  <si>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</si>
  <si>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</si>
  <si>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</si>
  <si>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</si>
  <si>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</si>
  <si>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</si>
  <si>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</si>
  <si>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</si>
  <si>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</si>
  <si>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</si>
  <si>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</si>
  <si>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</si>
  <si>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</si>
  <si>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</si>
  <si>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</si>
  <si>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</si>
  <si>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</si>
  <si>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</si>
  <si>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</si>
  <si>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</si>
  <si>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</si>
  <si>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</si>
  <si>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</si>
  <si>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</si>
  <si>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</si>
  <si>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</si>
  <si>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</si>
  <si>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</si>
  <si>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</si>
  <si>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</si>
  <si>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</si>
  <si>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</si>
  <si>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</si>
  <si>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</si>
  <si>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</si>
  <si>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</si>
  <si>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</si>
  <si>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</si>
  <si>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</si>
  <si>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</si>
  <si>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</si>
  <si>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</si>
  <si>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</si>
  <si>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</si>
  <si>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</si>
  <si>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</si>
  <si>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</si>
  <si>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</si>
  <si>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</si>
  <si>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</si>
  <si>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</si>
  <si>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</si>
  <si>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</si>
  <si>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</si>
  <si>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</si>
  <si>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</si>
  <si>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</si>
  <si>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</si>
  <si>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</si>
  <si>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</si>
  <si>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</si>
  <si>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</si>
  <si>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</si>
  <si>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</si>
  <si>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</si>
  <si>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</si>
  <si>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</si>
  <si>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</si>
  <si>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</si>
  <si>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</si>
  <si>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</si>
  <si>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</si>
  <si>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</si>
  <si>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</si>
  <si>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</si>
  <si>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</si>
  <si>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</si>
  <si>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</si>
  <si>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</si>
  <si>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</si>
  <si>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</si>
  <si>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</si>
  <si>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</si>
  <si>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</si>
  <si>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</si>
  <si>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</si>
  <si>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</si>
  <si>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</si>
  <si>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</si>
  <si>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</si>
  <si>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</si>
  <si>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</si>
  <si>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</si>
  <si>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</si>
  <si>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</si>
  <si>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</si>
  <si>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</si>
  <si>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</si>
  <si>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</si>
  <si>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</si>
  <si>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</si>
  <si>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</si>
  <si>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</si>
  <si>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</si>
  <si>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</si>
  <si>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</si>
  <si>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</si>
  <si>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01.01.2017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</si>
</sst>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4" fillId="35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35" borderId="14" xfId="63" applyNumberFormat="1" applyFont="1" applyFill="1" applyBorder="1" applyAlignment="1" applyProtection="1">
      <alignment horizontal="center" vertical="center"/>
      <protection locked="0"/>
    </xf>
    <xf numFmtId="3" fontId="4" fillId="35" borderId="21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42976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ОПТИМА ОДИТ АД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973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-0.5930348258706468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-0.2505254308532997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-0.010783817036983426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-0.010338786059985776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0.6277326670830731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0.1755614831707764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0.12255910081244528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0.006128973142473173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0.006128973142473173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0.019906508735094877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0.017433691258868633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0.7212980318650422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23.23160992013451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0.9587315905424394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821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0.34510298444724674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0.8716417910447761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63.09132420091324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5025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359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42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181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12695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35637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670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49025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740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356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1056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2152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4206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234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55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1173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5718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253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48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301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451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8622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57647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5115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12767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-15803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9426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-25229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-596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-16399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2379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3423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2734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6157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6157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25272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14079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5407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8009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166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117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380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9760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49111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49111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57647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88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226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55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105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28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239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778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821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823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1601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1601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1601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36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26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392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551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1005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1005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596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1005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596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596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596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1601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292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-237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-49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-113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-111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-111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412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301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253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5115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5115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5115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5115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9426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9426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9426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9426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-25229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-25229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-596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-25825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-25825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2975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2975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-596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2379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2379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5025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333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546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94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7073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624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14198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35637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49901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5025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334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546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94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7073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624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14199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35637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49902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5025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334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546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94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7073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624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14199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35637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49902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140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326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487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81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416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1450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63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63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1513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4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17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54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55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144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328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504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85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443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1504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64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64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1568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144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328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504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85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443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1504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64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64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1568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5025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359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6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42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9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7073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181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12695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35637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2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48334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21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4206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234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9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81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1187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1187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5717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5738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5927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5927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4206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234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9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81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1187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1187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11644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11644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21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-5927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-5927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-5927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-5906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3423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2734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6157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23952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23952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1320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978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342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14079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5407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8009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166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380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248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132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117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9760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49111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55268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5927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5927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23952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23952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1320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978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342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14079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5407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8009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166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380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248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132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117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9760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55038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55038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3423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2734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6157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-5927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-5927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-5927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230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C14" sqref="C1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5025</v>
      </c>
      <c r="D12" s="188">
        <v>5025</v>
      </c>
      <c r="E12" s="84" t="s">
        <v>25</v>
      </c>
      <c r="F12" s="87" t="s">
        <v>26</v>
      </c>
      <c r="G12" s="188">
        <f>10+5+6011-10-5</f>
        <v>6011</v>
      </c>
      <c r="H12" s="188">
        <f>6011+5-5</f>
        <v>6011</v>
      </c>
    </row>
    <row r="13" spans="1:8" ht="15.75">
      <c r="A13" s="84" t="s">
        <v>27</v>
      </c>
      <c r="B13" s="86" t="s">
        <v>28</v>
      </c>
      <c r="C13" s="188">
        <v>359</v>
      </c>
      <c r="D13" s="188">
        <v>363</v>
      </c>
      <c r="E13" s="84" t="s">
        <v>821</v>
      </c>
      <c r="F13" s="87" t="s">
        <v>29</v>
      </c>
      <c r="G13" s="188">
        <v>6011</v>
      </c>
      <c r="H13" s="188">
        <v>6011</v>
      </c>
    </row>
    <row r="14" spans="1:8" ht="15.75">
      <c r="A14" s="84" t="s">
        <v>30</v>
      </c>
      <c r="B14" s="86" t="s">
        <v>31</v>
      </c>
      <c r="C14" s="188">
        <v>6</v>
      </c>
      <c r="D14" s="188">
        <v>7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42</v>
      </c>
      <c r="D16" s="188">
        <v>59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9</v>
      </c>
      <c r="D17" s="188">
        <v>13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7073</v>
      </c>
      <c r="D18" s="188">
        <v>7073</v>
      </c>
      <c r="E18" s="468" t="s">
        <v>47</v>
      </c>
      <c r="F18" s="467" t="s">
        <v>48</v>
      </c>
      <c r="G18" s="578">
        <f>G12+G15+G16+G17</f>
        <v>6011</v>
      </c>
      <c r="H18" s="579">
        <f>H12+H15+H16+H17</f>
        <v>6011</v>
      </c>
    </row>
    <row r="19" spans="1:8" ht="15.75">
      <c r="A19" s="84" t="s">
        <v>49</v>
      </c>
      <c r="B19" s="86" t="s">
        <v>50</v>
      </c>
      <c r="C19" s="188">
        <v>181</v>
      </c>
      <c r="D19" s="188">
        <v>208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12695</v>
      </c>
      <c r="D20" s="567">
        <f>SUM(D12:D19)</f>
        <v>12748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63">
        <v>35637</v>
      </c>
      <c r="D21" s="463">
        <v>35637</v>
      </c>
      <c r="E21" s="84" t="s">
        <v>58</v>
      </c>
      <c r="F21" s="87" t="s">
        <v>59</v>
      </c>
      <c r="G21" s="188">
        <v>5115</v>
      </c>
      <c r="H21" s="188">
        <v>5115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</v>
      </c>
      <c r="H23" s="187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12767</v>
      </c>
      <c r="H26" s="567">
        <f>H20+H21+H22</f>
        <v>12767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</v>
      </c>
      <c r="D28" s="567">
        <f>SUM(D24:D27)</f>
        <v>3</v>
      </c>
      <c r="E28" s="193" t="s">
        <v>84</v>
      </c>
      <c r="F28" s="87" t="s">
        <v>85</v>
      </c>
      <c r="G28" s="564">
        <f>SUM(G29:G31)</f>
        <v>-15803</v>
      </c>
      <c r="H28" s="565">
        <f>SUM(H29:H31)</f>
        <v>-15676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9426</v>
      </c>
      <c r="H29" s="188">
        <f>9216+210</f>
        <v>9426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-25229</v>
      </c>
      <c r="H30" s="188">
        <v>-25102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-596</v>
      </c>
      <c r="H33" s="188">
        <v>-127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-16399</v>
      </c>
      <c r="H34" s="567">
        <f>H28+H32+H33</f>
        <v>-15803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2379</v>
      </c>
      <c r="H37" s="569">
        <f>H26+H18+H34</f>
        <v>2975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3423</v>
      </c>
      <c r="H48" s="188">
        <v>3912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1204+1530</f>
        <v>2734</v>
      </c>
      <c r="H49" s="188">
        <f>1530+1502</f>
        <v>3032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6157</v>
      </c>
      <c r="H50" s="565">
        <f>SUM(H44:H49)</f>
        <v>6944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670</v>
      </c>
      <c r="D54" s="465">
        <v>893</v>
      </c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21</v>
      </c>
      <c r="D55" s="465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49025</v>
      </c>
      <c r="D56" s="571">
        <f>D20+D21+D22+D28+D33+D46+D52+D54+D55</f>
        <v>49302</v>
      </c>
      <c r="E56" s="94" t="s">
        <v>825</v>
      </c>
      <c r="F56" s="93" t="s">
        <v>172</v>
      </c>
      <c r="G56" s="568">
        <f>G50+G52+G53+G54+G55</f>
        <v>6157</v>
      </c>
      <c r="H56" s="569">
        <f>H50+H52+H53+H54+H55</f>
        <v>6944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740</v>
      </c>
      <c r="D59" s="188">
        <v>724</v>
      </c>
      <c r="E59" s="192" t="s">
        <v>180</v>
      </c>
      <c r="F59" s="473" t="s">
        <v>181</v>
      </c>
      <c r="G59" s="188">
        <v>25272</v>
      </c>
      <c r="H59" s="188">
        <v>24699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356</v>
      </c>
      <c r="D61" s="188">
        <v>336</v>
      </c>
      <c r="E61" s="191" t="s">
        <v>188</v>
      </c>
      <c r="F61" s="87" t="s">
        <v>189</v>
      </c>
      <c r="G61" s="564">
        <f>SUM(G62:G68)</f>
        <v>14079</v>
      </c>
      <c r="H61" s="565">
        <f>SUM(H62:H68)</f>
        <v>13908</v>
      </c>
    </row>
    <row r="62" spans="1:13" ht="15.75">
      <c r="A62" s="84" t="s">
        <v>186</v>
      </c>
      <c r="B62" s="88" t="s">
        <v>187</v>
      </c>
      <c r="C62" s="188">
        <v>1056</v>
      </c>
      <c r="D62" s="188">
        <v>1056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945+4462</f>
        <v>5407</v>
      </c>
      <c r="H64" s="188">
        <f>4457+886</f>
        <v>5343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2152</v>
      </c>
      <c r="D65" s="567">
        <f>SUM(D59:D64)</f>
        <v>2116</v>
      </c>
      <c r="E65" s="84" t="s">
        <v>201</v>
      </c>
      <c r="F65" s="87" t="s">
        <v>202</v>
      </c>
      <c r="G65" s="188">
        <f>218+7791</f>
        <v>8009</v>
      </c>
      <c r="H65" s="188">
        <f>7783+198</f>
        <v>7981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24+142</f>
        <v>166</v>
      </c>
      <c r="H66" s="188">
        <f>129+5</f>
        <v>134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18+86+13</f>
        <v>117</v>
      </c>
      <c r="H67" s="188">
        <f>12+76</f>
        <v>88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f>5+308+67</f>
        <v>380</v>
      </c>
      <c r="H68" s="188">
        <f>75+287</f>
        <v>362</v>
      </c>
    </row>
    <row r="69" spans="1:8" ht="15.75">
      <c r="A69" s="84" t="s">
        <v>210</v>
      </c>
      <c r="B69" s="86" t="s">
        <v>211</v>
      </c>
      <c r="C69" s="188">
        <f>303+3903</f>
        <v>4206</v>
      </c>
      <c r="D69" s="188">
        <f>4538+289</f>
        <v>4827</v>
      </c>
      <c r="E69" s="192" t="s">
        <v>79</v>
      </c>
      <c r="F69" s="87" t="s">
        <v>216</v>
      </c>
      <c r="G69" s="188">
        <f>30+465+9265</f>
        <v>9760</v>
      </c>
      <c r="H69" s="188">
        <f>9685+472</f>
        <v>10157</v>
      </c>
    </row>
    <row r="70" spans="1:8" ht="15.75">
      <c r="A70" s="84" t="s">
        <v>214</v>
      </c>
      <c r="B70" s="86" t="s">
        <v>215</v>
      </c>
      <c r="C70" s="188">
        <f>6+228</f>
        <v>234</v>
      </c>
      <c r="D70" s="188">
        <f>228+6</f>
        <v>234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49111</v>
      </c>
      <c r="H71" s="567">
        <f>H59+H60+H61+H69+H70</f>
        <v>48764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55</v>
      </c>
      <c r="D73" s="188">
        <v>91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50</v>
      </c>
      <c r="D74" s="188">
        <v>50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982+190+1</f>
        <v>1173</v>
      </c>
      <c r="D75" s="188">
        <f>194+1003+3</f>
        <v>1200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5718</v>
      </c>
      <c r="D76" s="567">
        <f>SUM(D68:D75)</f>
        <v>6402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49111</v>
      </c>
      <c r="H79" s="569">
        <f>H71+H73+H75+H77</f>
        <v>48764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6+247</f>
        <v>253</v>
      </c>
      <c r="D88" s="188">
        <f>1+364</f>
        <v>365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8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f>17+31</f>
        <v>48</v>
      </c>
      <c r="D90" s="188">
        <f>33+14</f>
        <v>47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301</v>
      </c>
      <c r="D92" s="567">
        <f>SUM(D88:D91)</f>
        <v>412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1+2+448</f>
        <v>451</v>
      </c>
      <c r="D93" s="465">
        <f>448+3</f>
        <v>451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8622</v>
      </c>
      <c r="D94" s="571">
        <f>D65+D76+D85+D92+D93</f>
        <v>9381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57647</v>
      </c>
      <c r="D95" s="573">
        <f>D94+D56</f>
        <v>58683</v>
      </c>
      <c r="E95" s="220" t="s">
        <v>916</v>
      </c>
      <c r="F95" s="476" t="s">
        <v>268</v>
      </c>
      <c r="G95" s="572">
        <f>G37+G40+G56+G79</f>
        <v>57647</v>
      </c>
      <c r="H95" s="573">
        <f>H37+H40+H56+H79</f>
        <v>58683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4">
        <f>pdeReportingDate</f>
        <v>42976</v>
      </c>
      <c r="C98" s="674"/>
      <c r="D98" s="674"/>
      <c r="E98" s="674"/>
      <c r="F98" s="674"/>
      <c r="G98" s="674"/>
      <c r="H98" s="674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5" t="str">
        <f>authorName</f>
        <v>ОПТИМА ОДИТ АД</v>
      </c>
      <c r="C100" s="675"/>
      <c r="D100" s="675"/>
      <c r="E100" s="675"/>
      <c r="F100" s="675"/>
      <c r="G100" s="675"/>
      <c r="H100" s="675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3"/>
      <c r="B103" s="673" t="s">
        <v>952</v>
      </c>
      <c r="C103" s="673"/>
      <c r="D103" s="673"/>
      <c r="E103" s="673"/>
      <c r="M103" s="92"/>
    </row>
    <row r="104" spans="1:5" ht="21.75" customHeight="1">
      <c r="A104" s="663"/>
      <c r="B104" s="673" t="s">
        <v>952</v>
      </c>
      <c r="C104" s="673"/>
      <c r="D104" s="673"/>
      <c r="E104" s="673"/>
    </row>
    <row r="105" spans="1:13" ht="21.75" customHeight="1">
      <c r="A105" s="663"/>
      <c r="B105" s="673" t="s">
        <v>952</v>
      </c>
      <c r="C105" s="673"/>
      <c r="D105" s="673"/>
      <c r="E105" s="673"/>
      <c r="M105" s="92"/>
    </row>
    <row r="106" spans="1:5" ht="21.75" customHeight="1">
      <c r="A106" s="663"/>
      <c r="B106" s="673" t="s">
        <v>952</v>
      </c>
      <c r="C106" s="673"/>
      <c r="D106" s="673"/>
      <c r="E106" s="673"/>
    </row>
    <row r="107" spans="1:13" ht="21.75" customHeight="1">
      <c r="A107" s="663"/>
      <c r="B107" s="673"/>
      <c r="C107" s="673"/>
      <c r="D107" s="673"/>
      <c r="E107" s="673"/>
      <c r="M107" s="92"/>
    </row>
    <row r="108" spans="1:5" ht="21.75" customHeight="1">
      <c r="A108" s="663"/>
      <c r="B108" s="673"/>
      <c r="C108" s="673"/>
      <c r="D108" s="673"/>
      <c r="E108" s="673"/>
    </row>
    <row r="109" spans="1:13" ht="21.75" customHeight="1">
      <c r="A109" s="663"/>
      <c r="B109" s="673"/>
      <c r="C109" s="673"/>
      <c r="D109" s="673"/>
      <c r="E109" s="673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85+3</f>
        <v>88</v>
      </c>
      <c r="D12" s="308">
        <v>109</v>
      </c>
      <c r="E12" s="185" t="s">
        <v>277</v>
      </c>
      <c r="F12" s="231" t="s">
        <v>278</v>
      </c>
      <c r="G12" s="307">
        <v>36</v>
      </c>
      <c r="H12" s="308">
        <v>64</v>
      </c>
    </row>
    <row r="13" spans="1:8" ht="15.75">
      <c r="A13" s="185" t="s">
        <v>279</v>
      </c>
      <c r="B13" s="181" t="s">
        <v>280</v>
      </c>
      <c r="C13" s="307">
        <f>188+69-31</f>
        <v>226</v>
      </c>
      <c r="D13" s="308">
        <v>202</v>
      </c>
      <c r="E13" s="185" t="s">
        <v>281</v>
      </c>
      <c r="F13" s="231" t="s">
        <v>282</v>
      </c>
      <c r="G13" s="307">
        <v>26</v>
      </c>
      <c r="H13" s="308">
        <v>32</v>
      </c>
    </row>
    <row r="14" spans="1:8" ht="15.75">
      <c r="A14" s="185" t="s">
        <v>283</v>
      </c>
      <c r="B14" s="181" t="s">
        <v>284</v>
      </c>
      <c r="C14" s="307">
        <f>36+27-8</f>
        <v>55</v>
      </c>
      <c r="D14" s="308">
        <v>63</v>
      </c>
      <c r="E14" s="236" t="s">
        <v>285</v>
      </c>
      <c r="F14" s="231" t="s">
        <v>286</v>
      </c>
      <c r="G14" s="307">
        <f>392+31-31</f>
        <v>392</v>
      </c>
      <c r="H14" s="308">
        <v>290</v>
      </c>
    </row>
    <row r="15" spans="1:8" ht="15.75">
      <c r="A15" s="185" t="s">
        <v>287</v>
      </c>
      <c r="B15" s="181" t="s">
        <v>288</v>
      </c>
      <c r="C15" s="307">
        <f>4+84+17</f>
        <v>105</v>
      </c>
      <c r="D15" s="308">
        <v>85</v>
      </c>
      <c r="E15" s="236" t="s">
        <v>79</v>
      </c>
      <c r="F15" s="231" t="s">
        <v>289</v>
      </c>
      <c r="G15" s="307">
        <f>1+550</f>
        <v>551</v>
      </c>
      <c r="H15" s="308">
        <v>349</v>
      </c>
    </row>
    <row r="16" spans="1:8" ht="15.75">
      <c r="A16" s="185" t="s">
        <v>290</v>
      </c>
      <c r="B16" s="181" t="s">
        <v>291</v>
      </c>
      <c r="C16" s="307">
        <f>1+16+3</f>
        <v>20</v>
      </c>
      <c r="D16" s="308">
        <v>14</v>
      </c>
      <c r="E16" s="227" t="s">
        <v>52</v>
      </c>
      <c r="F16" s="255" t="s">
        <v>292</v>
      </c>
      <c r="G16" s="597">
        <f>SUM(G12:G15)</f>
        <v>1005</v>
      </c>
      <c r="H16" s="598">
        <f>SUM(H12:H15)</f>
        <v>735</v>
      </c>
    </row>
    <row r="17" spans="1:8" ht="31.5">
      <c r="A17" s="185" t="s">
        <v>293</v>
      </c>
      <c r="B17" s="181" t="s">
        <v>294</v>
      </c>
      <c r="C17" s="307">
        <v>17</v>
      </c>
      <c r="D17" s="308">
        <v>19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28</v>
      </c>
      <c r="D18" s="308">
        <v>31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16+223</f>
        <v>239</v>
      </c>
      <c r="D19" s="308">
        <v>118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778</v>
      </c>
      <c r="D22" s="598">
        <f>SUM(D12:D18)+D19</f>
        <v>641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821</v>
      </c>
      <c r="D25" s="308">
        <v>823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2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823</v>
      </c>
      <c r="D29" s="598">
        <f>SUM(D25:D28)</f>
        <v>824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1601</v>
      </c>
      <c r="D31" s="604">
        <f>D29+D22</f>
        <v>1465</v>
      </c>
      <c r="E31" s="242" t="s">
        <v>800</v>
      </c>
      <c r="F31" s="257" t="s">
        <v>331</v>
      </c>
      <c r="G31" s="244">
        <f>G16+G18+G27</f>
        <v>1005</v>
      </c>
      <c r="H31" s="245">
        <f>H16+H18+H27</f>
        <v>735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596</v>
      </c>
      <c r="H33" s="598">
        <f>IF((D31-H31)&gt;0,D31-H31,0)</f>
        <v>730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>
        <v>7</v>
      </c>
      <c r="E35" s="225" t="s">
        <v>342</v>
      </c>
      <c r="F35" s="228" t="s">
        <v>343</v>
      </c>
      <c r="G35" s="307"/>
      <c r="H35" s="308">
        <v>550</v>
      </c>
    </row>
    <row r="36" spans="1:8" ht="16.5" thickBot="1">
      <c r="A36" s="249" t="s">
        <v>344</v>
      </c>
      <c r="B36" s="247" t="s">
        <v>345</v>
      </c>
      <c r="C36" s="605">
        <f>C31-C34+C35</f>
        <v>1601</v>
      </c>
      <c r="D36" s="606">
        <f>D31-D34+D35</f>
        <v>1472</v>
      </c>
      <c r="E36" s="253" t="s">
        <v>346</v>
      </c>
      <c r="F36" s="247" t="s">
        <v>347</v>
      </c>
      <c r="G36" s="258">
        <f>G35-G34+G31</f>
        <v>1005</v>
      </c>
      <c r="H36" s="259">
        <f>H35-H34+H31</f>
        <v>1285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596</v>
      </c>
      <c r="H37" s="245">
        <f>IF((D36-H36)&gt;0,D36-H36,0)</f>
        <v>187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596</v>
      </c>
      <c r="H42" s="235">
        <f>IF(H37&gt;0,IF(D38+H37&lt;0,0,D38+H37),IF(D37-D38&lt;0,D38-D37,0))</f>
        <v>187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596</v>
      </c>
      <c r="H44" s="259">
        <f>IF(D42=0,IF(H42-H43&gt;0,H42-H43+D43,0),IF(D42-D43&lt;0,D43-D42+H43,0))</f>
        <v>187</v>
      </c>
    </row>
    <row r="45" spans="1:8" ht="16.5" thickBot="1">
      <c r="A45" s="261" t="s">
        <v>371</v>
      </c>
      <c r="B45" s="262" t="s">
        <v>372</v>
      </c>
      <c r="C45" s="599">
        <f>C36+C38+C42</f>
        <v>1601</v>
      </c>
      <c r="D45" s="600">
        <f>D36+D38+D42</f>
        <v>1472</v>
      </c>
      <c r="E45" s="261" t="s">
        <v>373</v>
      </c>
      <c r="F45" s="263" t="s">
        <v>374</v>
      </c>
      <c r="G45" s="599">
        <f>G42+G36</f>
        <v>1601</v>
      </c>
      <c r="H45" s="600">
        <f>H42+H36</f>
        <v>1472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7" t="s">
        <v>951</v>
      </c>
      <c r="B47" s="677"/>
      <c r="C47" s="677"/>
      <c r="D47" s="677"/>
      <c r="E47" s="677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4">
        <f>pdeReportingDate</f>
        <v>42976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5" t="str">
        <f>authorName</f>
        <v>ОПТИМА ОДИТ АД</v>
      </c>
      <c r="C52" s="675"/>
      <c r="D52" s="675"/>
      <c r="E52" s="675"/>
      <c r="F52" s="675"/>
      <c r="G52" s="675"/>
      <c r="H52" s="675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3"/>
      <c r="B55" s="673" t="s">
        <v>952</v>
      </c>
      <c r="C55" s="673"/>
      <c r="D55" s="673"/>
      <c r="E55" s="673"/>
      <c r="F55" s="543"/>
      <c r="G55" s="44"/>
      <c r="H55" s="41"/>
    </row>
    <row r="56" spans="1:8" ht="15.75" customHeight="1">
      <c r="A56" s="663"/>
      <c r="B56" s="673" t="s">
        <v>952</v>
      </c>
      <c r="C56" s="673"/>
      <c r="D56" s="673"/>
      <c r="E56" s="673"/>
      <c r="F56" s="543"/>
      <c r="G56" s="44"/>
      <c r="H56" s="41"/>
    </row>
    <row r="57" spans="1:8" ht="15.75" customHeight="1">
      <c r="A57" s="663"/>
      <c r="B57" s="673" t="s">
        <v>952</v>
      </c>
      <c r="C57" s="673"/>
      <c r="D57" s="673"/>
      <c r="E57" s="673"/>
      <c r="F57" s="543"/>
      <c r="G57" s="44"/>
      <c r="H57" s="41"/>
    </row>
    <row r="58" spans="1:8" ht="15.75" customHeight="1">
      <c r="A58" s="663"/>
      <c r="B58" s="673" t="s">
        <v>952</v>
      </c>
      <c r="C58" s="673"/>
      <c r="D58" s="673"/>
      <c r="E58" s="673"/>
      <c r="F58" s="543"/>
      <c r="G58" s="44"/>
      <c r="H58" s="41"/>
    </row>
    <row r="59" spans="1:8" ht="15.75">
      <c r="A59" s="663"/>
      <c r="B59" s="673"/>
      <c r="C59" s="673"/>
      <c r="D59" s="673"/>
      <c r="E59" s="673"/>
      <c r="F59" s="543"/>
      <c r="G59" s="44"/>
      <c r="H59" s="41"/>
    </row>
    <row r="60" spans="1:8" ht="15.75">
      <c r="A60" s="663"/>
      <c r="B60" s="673"/>
      <c r="C60" s="673"/>
      <c r="D60" s="673"/>
      <c r="E60" s="673"/>
      <c r="F60" s="543"/>
      <c r="G60" s="44"/>
      <c r="H60" s="41"/>
    </row>
    <row r="61" spans="1:8" ht="15.75">
      <c r="A61" s="663"/>
      <c r="B61" s="673"/>
      <c r="C61" s="673"/>
      <c r="D61" s="673"/>
      <c r="E61" s="673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284+8</f>
        <v>292</v>
      </c>
      <c r="D11" s="187">
        <v>309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-236-1</f>
        <v>-237</v>
      </c>
      <c r="D12" s="187">
        <v>-199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-4-45</f>
        <v>-49</v>
      </c>
      <c r="D14" s="187">
        <v>-85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</v>
      </c>
      <c r="D15" s="187">
        <v>-7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</v>
      </c>
      <c r="D18" s="187">
        <v>-1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-103-10</f>
        <v>-113</v>
      </c>
      <c r="D20" s="187">
        <v>24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-111</v>
      </c>
      <c r="D21" s="628">
        <f>SUM(D11:D20)</f>
        <v>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-14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-15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-111</v>
      </c>
      <c r="D44" s="298">
        <f>D43+D33+D21</f>
        <v>26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412</v>
      </c>
      <c r="D45" s="300">
        <v>147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301</v>
      </c>
      <c r="D46" s="302">
        <f>D45+D44</f>
        <v>173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253</v>
      </c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48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4">
        <f>pdeReportingDate</f>
        <v>42976</v>
      </c>
      <c r="C54" s="674"/>
      <c r="D54" s="674"/>
      <c r="E54" s="674"/>
      <c r="F54" s="664"/>
      <c r="G54" s="664"/>
      <c r="H54" s="664"/>
      <c r="M54" s="92"/>
    </row>
    <row r="55" spans="1:13" s="41" customFormat="1" ht="15.75">
      <c r="A55" s="661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62" t="s">
        <v>8</v>
      </c>
      <c r="B56" s="675" t="str">
        <f>authorName</f>
        <v>ОПТИМА ОДИТ АД</v>
      </c>
      <c r="C56" s="675"/>
      <c r="D56" s="675"/>
      <c r="E56" s="675"/>
      <c r="F56" s="75"/>
      <c r="G56" s="75"/>
      <c r="H56" s="75"/>
    </row>
    <row r="57" spans="1:8" s="41" customFormat="1" ht="15.75">
      <c r="A57" s="662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62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3"/>
      <c r="B59" s="673" t="s">
        <v>952</v>
      </c>
      <c r="C59" s="673"/>
      <c r="D59" s="673"/>
      <c r="E59" s="673"/>
      <c r="F59" s="543"/>
      <c r="G59" s="44"/>
      <c r="H59" s="41"/>
    </row>
    <row r="60" spans="1:8" ht="15.75">
      <c r="A60" s="663"/>
      <c r="B60" s="673" t="s">
        <v>952</v>
      </c>
      <c r="C60" s="673"/>
      <c r="D60" s="673"/>
      <c r="E60" s="673"/>
      <c r="F60" s="543"/>
      <c r="G60" s="44"/>
      <c r="H60" s="41"/>
    </row>
    <row r="61" spans="1:8" ht="15.75">
      <c r="A61" s="663"/>
      <c r="B61" s="673" t="s">
        <v>952</v>
      </c>
      <c r="C61" s="673"/>
      <c r="D61" s="673"/>
      <c r="E61" s="673"/>
      <c r="F61" s="543"/>
      <c r="G61" s="44"/>
      <c r="H61" s="41"/>
    </row>
    <row r="62" spans="1:8" ht="15.75">
      <c r="A62" s="663"/>
      <c r="B62" s="673" t="s">
        <v>952</v>
      </c>
      <c r="C62" s="673"/>
      <c r="D62" s="673"/>
      <c r="E62" s="673"/>
      <c r="F62" s="543"/>
      <c r="G62" s="44"/>
      <c r="H62" s="41"/>
    </row>
    <row r="63" spans="1:8" ht="15.75">
      <c r="A63" s="663"/>
      <c r="B63" s="673"/>
      <c r="C63" s="673"/>
      <c r="D63" s="673"/>
      <c r="E63" s="673"/>
      <c r="F63" s="543"/>
      <c r="G63" s="44"/>
      <c r="H63" s="41"/>
    </row>
    <row r="64" spans="1:8" ht="15.75">
      <c r="A64" s="663"/>
      <c r="B64" s="673"/>
      <c r="C64" s="673"/>
      <c r="D64" s="673"/>
      <c r="E64" s="673"/>
      <c r="F64" s="543"/>
      <c r="G64" s="44"/>
      <c r="H64" s="41"/>
    </row>
    <row r="65" spans="1:8" ht="15.75">
      <c r="A65" s="663"/>
      <c r="B65" s="673"/>
      <c r="C65" s="673"/>
      <c r="D65" s="673"/>
      <c r="E65" s="673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4"/>
      <c r="B9" s="68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9" t="s">
        <v>458</v>
      </c>
      <c r="J9" s="689" t="s">
        <v>459</v>
      </c>
      <c r="K9" s="680"/>
      <c r="L9" s="680"/>
      <c r="M9" s="505" t="s">
        <v>801</v>
      </c>
      <c r="N9" s="501"/>
    </row>
    <row r="10" spans="1:14" s="502" customFormat="1" ht="31.5">
      <c r="A10" s="685"/>
      <c r="B10" s="68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6011</v>
      </c>
      <c r="D13" s="553">
        <f>'1-Баланс'!H20</f>
        <v>7651</v>
      </c>
      <c r="E13" s="553">
        <f>'1-Баланс'!H21</f>
        <v>5115</v>
      </c>
      <c r="F13" s="553">
        <f>'1-Баланс'!H23</f>
        <v>1</v>
      </c>
      <c r="G13" s="553">
        <f>'1-Баланс'!H24</f>
        <v>0</v>
      </c>
      <c r="H13" s="554"/>
      <c r="I13" s="553">
        <f>'1-Баланс'!H29+'1-Баланс'!H32</f>
        <v>9426</v>
      </c>
      <c r="J13" s="553">
        <f>'1-Баланс'!H30+'1-Баланс'!H33</f>
        <v>-25229</v>
      </c>
      <c r="K13" s="554"/>
      <c r="L13" s="553">
        <f>SUM(C13:K13)</f>
        <v>2975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6011</v>
      </c>
      <c r="D17" s="622">
        <f aca="true" t="shared" si="2" ref="D17:M17">D13+D14</f>
        <v>7651</v>
      </c>
      <c r="E17" s="622">
        <f t="shared" si="2"/>
        <v>5115</v>
      </c>
      <c r="F17" s="622">
        <f t="shared" si="2"/>
        <v>1</v>
      </c>
      <c r="G17" s="622">
        <f t="shared" si="2"/>
        <v>0</v>
      </c>
      <c r="H17" s="622">
        <f t="shared" si="2"/>
        <v>0</v>
      </c>
      <c r="I17" s="622">
        <f t="shared" si="2"/>
        <v>9426</v>
      </c>
      <c r="J17" s="622">
        <f t="shared" si="2"/>
        <v>-25229</v>
      </c>
      <c r="K17" s="622">
        <f t="shared" si="2"/>
        <v>0</v>
      </c>
      <c r="L17" s="553">
        <f t="shared" si="1"/>
        <v>2975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-596</v>
      </c>
      <c r="K18" s="554"/>
      <c r="L18" s="553">
        <f t="shared" si="1"/>
        <v>-596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6011</v>
      </c>
      <c r="D31" s="622">
        <f aca="true" t="shared" si="6" ref="D31:M31">D19+D22+D23+D26+D30+D29+D17+D18</f>
        <v>7651</v>
      </c>
      <c r="E31" s="622">
        <f t="shared" si="6"/>
        <v>5115</v>
      </c>
      <c r="F31" s="622">
        <f t="shared" si="6"/>
        <v>1</v>
      </c>
      <c r="G31" s="622">
        <f t="shared" si="6"/>
        <v>0</v>
      </c>
      <c r="H31" s="622">
        <f t="shared" si="6"/>
        <v>0</v>
      </c>
      <c r="I31" s="622">
        <f t="shared" si="6"/>
        <v>9426</v>
      </c>
      <c r="J31" s="622">
        <f t="shared" si="6"/>
        <v>-25825</v>
      </c>
      <c r="K31" s="622">
        <f t="shared" si="6"/>
        <v>0</v>
      </c>
      <c r="L31" s="553">
        <f t="shared" si="1"/>
        <v>2379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6011</v>
      </c>
      <c r="D34" s="556">
        <f t="shared" si="7"/>
        <v>7651</v>
      </c>
      <c r="E34" s="556">
        <f t="shared" si="7"/>
        <v>5115</v>
      </c>
      <c r="F34" s="556">
        <f t="shared" si="7"/>
        <v>1</v>
      </c>
      <c r="G34" s="556">
        <f t="shared" si="7"/>
        <v>0</v>
      </c>
      <c r="H34" s="556">
        <f t="shared" si="7"/>
        <v>0</v>
      </c>
      <c r="I34" s="556">
        <f t="shared" si="7"/>
        <v>9426</v>
      </c>
      <c r="J34" s="556">
        <f t="shared" si="7"/>
        <v>-25825</v>
      </c>
      <c r="K34" s="556">
        <f t="shared" si="7"/>
        <v>0</v>
      </c>
      <c r="L34" s="620">
        <f t="shared" si="1"/>
        <v>2379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4">
        <f>pdeReportingDate</f>
        <v>42976</v>
      </c>
      <c r="C38" s="674"/>
      <c r="D38" s="674"/>
      <c r="E38" s="674"/>
      <c r="F38" s="674"/>
      <c r="G38" s="674"/>
      <c r="H38" s="674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5" t="str">
        <f>authorName</f>
        <v>ОПТИМА ОДИТ АД</v>
      </c>
      <c r="C40" s="675"/>
      <c r="D40" s="675"/>
      <c r="E40" s="675"/>
      <c r="F40" s="675"/>
      <c r="G40" s="675"/>
      <c r="H40" s="675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3"/>
      <c r="B43" s="673" t="s">
        <v>952</v>
      </c>
      <c r="C43" s="673"/>
      <c r="D43" s="673"/>
      <c r="E43" s="673"/>
      <c r="F43" s="543"/>
      <c r="G43" s="44"/>
      <c r="H43" s="41"/>
      <c r="M43" s="160"/>
    </row>
    <row r="44" spans="1:13" ht="15.75">
      <c r="A44" s="663"/>
      <c r="B44" s="673" t="s">
        <v>952</v>
      </c>
      <c r="C44" s="673"/>
      <c r="D44" s="673"/>
      <c r="E44" s="673"/>
      <c r="F44" s="543"/>
      <c r="G44" s="44"/>
      <c r="H44" s="41"/>
      <c r="M44" s="160"/>
    </row>
    <row r="45" spans="1:13" ht="15.75">
      <c r="A45" s="663"/>
      <c r="B45" s="673" t="s">
        <v>952</v>
      </c>
      <c r="C45" s="673"/>
      <c r="D45" s="673"/>
      <c r="E45" s="673"/>
      <c r="F45" s="543"/>
      <c r="G45" s="44"/>
      <c r="H45" s="41"/>
      <c r="M45" s="160"/>
    </row>
    <row r="46" spans="1:13" ht="15.75">
      <c r="A46" s="663"/>
      <c r="B46" s="673" t="s">
        <v>952</v>
      </c>
      <c r="C46" s="673"/>
      <c r="D46" s="673"/>
      <c r="E46" s="673"/>
      <c r="F46" s="543"/>
      <c r="G46" s="44"/>
      <c r="H46" s="41"/>
      <c r="M46" s="160"/>
    </row>
    <row r="47" spans="1:13" ht="15.75">
      <c r="A47" s="663"/>
      <c r="B47" s="673"/>
      <c r="C47" s="673"/>
      <c r="D47" s="673"/>
      <c r="E47" s="673"/>
      <c r="F47" s="543"/>
      <c r="G47" s="44"/>
      <c r="H47" s="41"/>
      <c r="M47" s="160"/>
    </row>
    <row r="48" spans="1:13" ht="15.75">
      <c r="A48" s="663"/>
      <c r="B48" s="673"/>
      <c r="C48" s="673"/>
      <c r="D48" s="673"/>
      <c r="E48" s="673"/>
      <c r="F48" s="543"/>
      <c r="G48" s="44"/>
      <c r="H48" s="41"/>
      <c r="M48" s="160"/>
    </row>
    <row r="49" spans="1:13" ht="15.75">
      <c r="A49" s="663"/>
      <c r="B49" s="673"/>
      <c r="C49" s="673"/>
      <c r="D49" s="673"/>
      <c r="E49" s="673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L12" sqref="L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8">
        <v>5025</v>
      </c>
      <c r="E11" s="319"/>
      <c r="F11" s="319"/>
      <c r="G11" s="320">
        <f>D11+E11-F11</f>
        <v>5025</v>
      </c>
      <c r="H11" s="319"/>
      <c r="I11" s="319"/>
      <c r="J11" s="320">
        <f>G11+H11-I11</f>
        <v>5025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5025</v>
      </c>
    </row>
    <row r="12" spans="1:18" ht="15.75">
      <c r="A12" s="330" t="s">
        <v>524</v>
      </c>
      <c r="B12" s="312" t="s">
        <v>525</v>
      </c>
      <c r="C12" s="143" t="s">
        <v>526</v>
      </c>
      <c r="D12" s="668">
        <v>503</v>
      </c>
      <c r="E12" s="319"/>
      <c r="F12" s="319"/>
      <c r="G12" s="320">
        <f aca="true" t="shared" si="2" ref="G12:G41">D12+E12-F12</f>
        <v>503</v>
      </c>
      <c r="H12" s="319"/>
      <c r="I12" s="319"/>
      <c r="J12" s="320">
        <f aca="true" t="shared" si="3" ref="J12:J41">G12+H12-I12</f>
        <v>503</v>
      </c>
      <c r="K12" s="672">
        <v>140</v>
      </c>
      <c r="L12" s="319">
        <f>12-8</f>
        <v>4</v>
      </c>
      <c r="M12" s="319"/>
      <c r="N12" s="320">
        <f aca="true" t="shared" si="4" ref="N12:N41">K12+L12-M12</f>
        <v>144</v>
      </c>
      <c r="O12" s="319"/>
      <c r="P12" s="319"/>
      <c r="Q12" s="320">
        <f t="shared" si="0"/>
        <v>144</v>
      </c>
      <c r="R12" s="331">
        <f t="shared" si="1"/>
        <v>359</v>
      </c>
    </row>
    <row r="13" spans="1:18" ht="15.75">
      <c r="A13" s="330" t="s">
        <v>527</v>
      </c>
      <c r="B13" s="312" t="s">
        <v>528</v>
      </c>
      <c r="C13" s="143" t="s">
        <v>529</v>
      </c>
      <c r="D13" s="668">
        <v>333</v>
      </c>
      <c r="E13" s="319">
        <v>1</v>
      </c>
      <c r="F13" s="319"/>
      <c r="G13" s="320">
        <f t="shared" si="2"/>
        <v>334</v>
      </c>
      <c r="H13" s="319"/>
      <c r="I13" s="319"/>
      <c r="J13" s="320">
        <f t="shared" si="3"/>
        <v>334</v>
      </c>
      <c r="K13" s="670">
        <v>326</v>
      </c>
      <c r="L13" s="319">
        <v>2</v>
      </c>
      <c r="M13" s="319"/>
      <c r="N13" s="320">
        <f t="shared" si="4"/>
        <v>328</v>
      </c>
      <c r="O13" s="319"/>
      <c r="P13" s="319"/>
      <c r="Q13" s="320">
        <f t="shared" si="0"/>
        <v>328</v>
      </c>
      <c r="R13" s="331">
        <f t="shared" si="1"/>
        <v>6</v>
      </c>
    </row>
    <row r="14" spans="1:18" ht="15.75">
      <c r="A14" s="330" t="s">
        <v>530</v>
      </c>
      <c r="B14" s="312" t="s">
        <v>531</v>
      </c>
      <c r="C14" s="143" t="s">
        <v>532</v>
      </c>
      <c r="D14" s="668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670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8">
        <v>546</v>
      </c>
      <c r="E15" s="319"/>
      <c r="F15" s="319"/>
      <c r="G15" s="320">
        <f t="shared" si="2"/>
        <v>546</v>
      </c>
      <c r="H15" s="319"/>
      <c r="I15" s="319"/>
      <c r="J15" s="320">
        <f t="shared" si="3"/>
        <v>546</v>
      </c>
      <c r="K15" s="670">
        <v>487</v>
      </c>
      <c r="L15" s="319">
        <v>17</v>
      </c>
      <c r="M15" s="319"/>
      <c r="N15" s="320">
        <f t="shared" si="4"/>
        <v>504</v>
      </c>
      <c r="O15" s="319"/>
      <c r="P15" s="319"/>
      <c r="Q15" s="320">
        <f t="shared" si="0"/>
        <v>504</v>
      </c>
      <c r="R15" s="331">
        <f t="shared" si="1"/>
        <v>42</v>
      </c>
    </row>
    <row r="16" spans="1:18" ht="15.75">
      <c r="A16" s="352" t="s">
        <v>814</v>
      </c>
      <c r="B16" s="312" t="s">
        <v>536</v>
      </c>
      <c r="C16" s="143" t="s">
        <v>537</v>
      </c>
      <c r="D16" s="668">
        <v>94</v>
      </c>
      <c r="E16" s="319"/>
      <c r="F16" s="319"/>
      <c r="G16" s="320">
        <f t="shared" si="2"/>
        <v>94</v>
      </c>
      <c r="H16" s="319"/>
      <c r="I16" s="319"/>
      <c r="J16" s="320">
        <f t="shared" si="3"/>
        <v>94</v>
      </c>
      <c r="K16" s="670">
        <v>81</v>
      </c>
      <c r="L16" s="319">
        <v>4</v>
      </c>
      <c r="M16" s="319"/>
      <c r="N16" s="320">
        <f t="shared" si="4"/>
        <v>85</v>
      </c>
      <c r="O16" s="319"/>
      <c r="P16" s="319"/>
      <c r="Q16" s="320">
        <f t="shared" si="0"/>
        <v>85</v>
      </c>
      <c r="R16" s="331">
        <f t="shared" si="1"/>
        <v>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>
        <v>7073</v>
      </c>
      <c r="E17" s="319"/>
      <c r="F17" s="319"/>
      <c r="G17" s="320">
        <f t="shared" si="2"/>
        <v>7073</v>
      </c>
      <c r="H17" s="319"/>
      <c r="I17" s="319"/>
      <c r="J17" s="320">
        <f t="shared" si="3"/>
        <v>7073</v>
      </c>
      <c r="K17" s="671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7073</v>
      </c>
    </row>
    <row r="18" spans="1:18" ht="15.75">
      <c r="A18" s="330" t="s">
        <v>541</v>
      </c>
      <c r="B18" s="146" t="s">
        <v>542</v>
      </c>
      <c r="C18" s="143" t="s">
        <v>543</v>
      </c>
      <c r="D18" s="668">
        <v>624</v>
      </c>
      <c r="E18" s="319"/>
      <c r="F18" s="319"/>
      <c r="G18" s="320">
        <f t="shared" si="2"/>
        <v>624</v>
      </c>
      <c r="H18" s="319"/>
      <c r="I18" s="319"/>
      <c r="J18" s="320">
        <f t="shared" si="3"/>
        <v>624</v>
      </c>
      <c r="K18" s="670">
        <v>416</v>
      </c>
      <c r="L18" s="319">
        <v>27</v>
      </c>
      <c r="M18" s="319"/>
      <c r="N18" s="320">
        <f t="shared" si="4"/>
        <v>443</v>
      </c>
      <c r="O18" s="319"/>
      <c r="P18" s="319"/>
      <c r="Q18" s="320">
        <f t="shared" si="0"/>
        <v>443</v>
      </c>
      <c r="R18" s="331">
        <f t="shared" si="1"/>
        <v>181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14198</v>
      </c>
      <c r="E19" s="321">
        <f>SUM(E11:E18)</f>
        <v>1</v>
      </c>
      <c r="F19" s="321">
        <f>SUM(F11:F18)</f>
        <v>0</v>
      </c>
      <c r="G19" s="320">
        <f t="shared" si="2"/>
        <v>14199</v>
      </c>
      <c r="H19" s="321">
        <f>SUM(H11:H18)</f>
        <v>0</v>
      </c>
      <c r="I19" s="321">
        <f>SUM(I11:I18)</f>
        <v>0</v>
      </c>
      <c r="J19" s="320">
        <f t="shared" si="3"/>
        <v>14199</v>
      </c>
      <c r="K19" s="321">
        <f>SUM(K11:K18)</f>
        <v>1450</v>
      </c>
      <c r="L19" s="321">
        <f>SUM(L11:L18)</f>
        <v>54</v>
      </c>
      <c r="M19" s="321">
        <f>SUM(M11:M18)</f>
        <v>0</v>
      </c>
      <c r="N19" s="320">
        <f t="shared" si="4"/>
        <v>1504</v>
      </c>
      <c r="O19" s="321">
        <f>SUM(O11:O18)</f>
        <v>0</v>
      </c>
      <c r="P19" s="321">
        <f>SUM(P11:P18)</f>
        <v>0</v>
      </c>
      <c r="Q19" s="320">
        <f t="shared" si="0"/>
        <v>1504</v>
      </c>
      <c r="R19" s="331">
        <f t="shared" si="1"/>
        <v>12695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35637</v>
      </c>
      <c r="E20" s="319"/>
      <c r="F20" s="319"/>
      <c r="G20" s="320">
        <f t="shared" si="2"/>
        <v>35637</v>
      </c>
      <c r="H20" s="319"/>
      <c r="I20" s="319"/>
      <c r="J20" s="320">
        <f t="shared" si="3"/>
        <v>35637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35637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63+3</f>
        <v>66</v>
      </c>
      <c r="E24" s="319"/>
      <c r="F24" s="319"/>
      <c r="G24" s="320">
        <f t="shared" si="2"/>
        <v>66</v>
      </c>
      <c r="H24" s="319"/>
      <c r="I24" s="319"/>
      <c r="J24" s="320">
        <f t="shared" si="3"/>
        <v>66</v>
      </c>
      <c r="K24" s="319">
        <f>60+3</f>
        <v>63</v>
      </c>
      <c r="L24" s="319">
        <v>1</v>
      </c>
      <c r="M24" s="319"/>
      <c r="N24" s="320">
        <f t="shared" si="4"/>
        <v>64</v>
      </c>
      <c r="O24" s="319"/>
      <c r="P24" s="319"/>
      <c r="Q24" s="320">
        <f t="shared" si="0"/>
        <v>64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66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</v>
      </c>
      <c r="H27" s="323">
        <f t="shared" si="5"/>
        <v>0</v>
      </c>
      <c r="I27" s="323">
        <f t="shared" si="5"/>
        <v>0</v>
      </c>
      <c r="J27" s="324">
        <f t="shared" si="3"/>
        <v>66</v>
      </c>
      <c r="K27" s="323">
        <f t="shared" si="5"/>
        <v>63</v>
      </c>
      <c r="L27" s="323">
        <f t="shared" si="5"/>
        <v>1</v>
      </c>
      <c r="M27" s="323">
        <f t="shared" si="5"/>
        <v>0</v>
      </c>
      <c r="N27" s="324">
        <f t="shared" si="4"/>
        <v>64</v>
      </c>
      <c r="O27" s="323">
        <f t="shared" si="5"/>
        <v>0</v>
      </c>
      <c r="P27" s="323">
        <f t="shared" si="5"/>
        <v>0</v>
      </c>
      <c r="Q27" s="324">
        <f t="shared" si="0"/>
        <v>64</v>
      </c>
      <c r="R27" s="334">
        <f t="shared" si="1"/>
        <v>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49901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49902</v>
      </c>
      <c r="H42" s="340">
        <f t="shared" si="11"/>
        <v>0</v>
      </c>
      <c r="I42" s="340">
        <f t="shared" si="11"/>
        <v>0</v>
      </c>
      <c r="J42" s="340">
        <f t="shared" si="11"/>
        <v>49902</v>
      </c>
      <c r="K42" s="340">
        <f t="shared" si="11"/>
        <v>1513</v>
      </c>
      <c r="L42" s="340">
        <f t="shared" si="11"/>
        <v>55</v>
      </c>
      <c r="M42" s="340">
        <f t="shared" si="11"/>
        <v>0</v>
      </c>
      <c r="N42" s="340">
        <f t="shared" si="11"/>
        <v>1568</v>
      </c>
      <c r="O42" s="340">
        <f t="shared" si="11"/>
        <v>0</v>
      </c>
      <c r="P42" s="340">
        <f t="shared" si="11"/>
        <v>0</v>
      </c>
      <c r="Q42" s="340">
        <f t="shared" si="11"/>
        <v>1568</v>
      </c>
      <c r="R42" s="341">
        <f t="shared" si="11"/>
        <v>48334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4">
        <f>pdeReportingDate</f>
        <v>42976</v>
      </c>
      <c r="D45" s="674"/>
      <c r="E45" s="674"/>
      <c r="F45" s="674"/>
      <c r="G45" s="674"/>
      <c r="H45" s="674"/>
      <c r="I45" s="674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5" t="str">
        <f>authorName</f>
        <v>ОПТИМА ОДИТ АД</v>
      </c>
      <c r="D47" s="675"/>
      <c r="E47" s="675"/>
      <c r="F47" s="675"/>
      <c r="G47" s="675"/>
      <c r="H47" s="675"/>
      <c r="I47" s="675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3"/>
      <c r="C50" s="673" t="s">
        <v>952</v>
      </c>
      <c r="D50" s="673"/>
      <c r="E50" s="673"/>
      <c r="F50" s="673"/>
      <c r="G50" s="543"/>
      <c r="H50" s="44"/>
      <c r="I50" s="41"/>
    </row>
    <row r="51" spans="2:9" ht="15.75">
      <c r="B51" s="663"/>
      <c r="C51" s="673" t="s">
        <v>952</v>
      </c>
      <c r="D51" s="673"/>
      <c r="E51" s="673"/>
      <c r="F51" s="673"/>
      <c r="G51" s="543"/>
      <c r="H51" s="44"/>
      <c r="I51" s="41"/>
    </row>
    <row r="52" spans="2:9" ht="15.75">
      <c r="B52" s="663"/>
      <c r="C52" s="673" t="s">
        <v>952</v>
      </c>
      <c r="D52" s="673"/>
      <c r="E52" s="673"/>
      <c r="F52" s="673"/>
      <c r="G52" s="543"/>
      <c r="H52" s="44"/>
      <c r="I52" s="41"/>
    </row>
    <row r="53" spans="2:9" ht="15.75">
      <c r="B53" s="663"/>
      <c r="C53" s="673" t="s">
        <v>952</v>
      </c>
      <c r="D53" s="673"/>
      <c r="E53" s="673"/>
      <c r="F53" s="673"/>
      <c r="G53" s="543"/>
      <c r="H53" s="44"/>
      <c r="I53" s="41"/>
    </row>
    <row r="54" spans="2:9" ht="15.75">
      <c r="B54" s="663"/>
      <c r="C54" s="673"/>
      <c r="D54" s="673"/>
      <c r="E54" s="673"/>
      <c r="F54" s="673"/>
      <c r="G54" s="543"/>
      <c r="H54" s="44"/>
      <c r="I54" s="41"/>
    </row>
    <row r="55" spans="2:9" ht="15.75">
      <c r="B55" s="663"/>
      <c r="C55" s="673"/>
      <c r="D55" s="673"/>
      <c r="E55" s="673"/>
      <c r="F55" s="673"/>
      <c r="G55" s="543"/>
      <c r="H55" s="44"/>
      <c r="I55" s="41"/>
    </row>
    <row r="56" spans="2:9" ht="15.75">
      <c r="B56" s="663"/>
      <c r="C56" s="673"/>
      <c r="D56" s="673"/>
      <c r="E56" s="673"/>
      <c r="F56" s="673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3">
      <selection activeCell="D37" sqref="D3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8"/>
    </row>
    <row r="9" spans="1:6" s="119" customFormat="1" ht="15.75">
      <c r="A9" s="704"/>
      <c r="B9" s="706"/>
      <c r="C9" s="702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21</v>
      </c>
      <c r="D23" s="434"/>
      <c r="E23" s="433">
        <f t="shared" si="0"/>
        <v>21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5927</v>
      </c>
      <c r="E26" s="360">
        <f>SUM(E27:E29)</f>
        <v>-5927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188"/>
      <c r="D29" s="188">
        <f>3015+2912</f>
        <v>5927</v>
      </c>
      <c r="E29" s="360">
        <f t="shared" si="0"/>
        <v>-5927</v>
      </c>
      <c r="F29" s="124"/>
    </row>
    <row r="30" spans="1:6" ht="15.75">
      <c r="A30" s="361" t="s">
        <v>623</v>
      </c>
      <c r="B30" s="126" t="s">
        <v>624</v>
      </c>
      <c r="C30" s="188">
        <f>303+3903</f>
        <v>4206</v>
      </c>
      <c r="D30" s="188">
        <f>303+3903</f>
        <v>4206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f>6+228</f>
        <v>234</v>
      </c>
      <c r="D31" s="188">
        <f>6+228</f>
        <v>234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90</v>
      </c>
      <c r="D35" s="353">
        <f>SUM(D36:D39)</f>
        <v>90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9</v>
      </c>
      <c r="D36" s="359">
        <v>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46+35</f>
        <v>81</v>
      </c>
      <c r="D37" s="359">
        <f>46+35</f>
        <v>81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1187</v>
      </c>
      <c r="D40" s="353">
        <f>SUM(D41:D44)</f>
        <v>1187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982+50+155</f>
        <v>1187</v>
      </c>
      <c r="D44" s="359">
        <f>982+50+155</f>
        <v>1187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5717</v>
      </c>
      <c r="D45" s="429">
        <f>D26+D30+D31+D33+D32+D34+D35+D40</f>
        <v>11644</v>
      </c>
      <c r="E45" s="430">
        <f>E26+E30+E31+E33+E32+E34+E35+E40</f>
        <v>-5927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5738</v>
      </c>
      <c r="D46" s="435">
        <f>D45+D23+D21+D11</f>
        <v>11644</v>
      </c>
      <c r="E46" s="436">
        <f>E45+E23+E21+E11</f>
        <v>-5906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3423</v>
      </c>
      <c r="D65" s="188"/>
      <c r="E65" s="127">
        <f t="shared" si="1"/>
        <v>3423</v>
      </c>
      <c r="F65" s="187"/>
    </row>
    <row r="66" spans="1:6" ht="15.75">
      <c r="A66" s="361" t="s">
        <v>682</v>
      </c>
      <c r="B66" s="126" t="s">
        <v>683</v>
      </c>
      <c r="C66" s="188">
        <f>1204+1530</f>
        <v>2734</v>
      </c>
      <c r="D66" s="188"/>
      <c r="E66" s="127">
        <f t="shared" si="1"/>
        <v>2734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6157</v>
      </c>
      <c r="D68" s="426">
        <f>D54+D58+D63+D64+D65+D66</f>
        <v>0</v>
      </c>
      <c r="E68" s="427">
        <f t="shared" si="1"/>
        <v>6157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5927</v>
      </c>
      <c r="E73" s="128">
        <f>SUM(E74:E76)</f>
        <v>-5927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>
        <f>68+2912+2947</f>
        <v>5927</v>
      </c>
      <c r="E76" s="127">
        <f t="shared" si="1"/>
        <v>-5927</v>
      </c>
      <c r="F76" s="187"/>
    </row>
    <row r="77" spans="1:6" ht="31.5">
      <c r="A77" s="361" t="s">
        <v>669</v>
      </c>
      <c r="B77" s="126" t="s">
        <v>699</v>
      </c>
      <c r="C77" s="129">
        <f>C78+C80</f>
        <v>23952</v>
      </c>
      <c r="D77" s="129">
        <f>D78+D80</f>
        <v>23952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23952</v>
      </c>
      <c r="D78" s="188">
        <v>23952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1320</v>
      </c>
      <c r="D82" s="129">
        <f>SUM(D83:D86)</f>
        <v>1320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978</v>
      </c>
      <c r="D84" s="188">
        <v>978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342</v>
      </c>
      <c r="D85" s="188">
        <v>342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14079</v>
      </c>
      <c r="D87" s="125">
        <f>SUM(D88:D92)+D96</f>
        <v>14079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945+4462</f>
        <v>5407</v>
      </c>
      <c r="D89" s="188">
        <f>945+4462</f>
        <v>5407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218+7791</f>
        <v>8009</v>
      </c>
      <c r="D90" s="188">
        <f>218+7791</f>
        <v>8009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24+142</f>
        <v>166</v>
      </c>
      <c r="D91" s="188">
        <f>24+142</f>
        <v>166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380</v>
      </c>
      <c r="D92" s="129">
        <f>SUM(D93:D95)</f>
        <v>380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210+38</f>
        <v>248</v>
      </c>
      <c r="D94" s="188">
        <f>210+38</f>
        <v>248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5+98+29</f>
        <v>132</v>
      </c>
      <c r="D95" s="188">
        <f>5+98+29</f>
        <v>132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18+86+13</f>
        <v>117</v>
      </c>
      <c r="D96" s="188">
        <f>18+86+13</f>
        <v>117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30+465+9265</f>
        <v>9760</v>
      </c>
      <c r="D97" s="188">
        <f>30+465+9265</f>
        <v>9760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49111</v>
      </c>
      <c r="D98" s="424">
        <f>D87+D82+D77+D73+D97</f>
        <v>55038</v>
      </c>
      <c r="E98" s="424">
        <f>E87+E82+E77+E73+E97</f>
        <v>-5927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55268</v>
      </c>
      <c r="D99" s="418">
        <f>D98+D70+D68</f>
        <v>55038</v>
      </c>
      <c r="E99" s="418">
        <f>E98+E70+E68</f>
        <v>230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4">
        <f>pdeReportingDate</f>
        <v>42976</v>
      </c>
      <c r="C111" s="674"/>
      <c r="D111" s="674"/>
      <c r="E111" s="674"/>
      <c r="F111" s="674"/>
      <c r="G111" s="51"/>
      <c r="H111" s="51"/>
    </row>
    <row r="112" spans="1:8" ht="15.75">
      <c r="A112" s="661"/>
      <c r="B112" s="674"/>
      <c r="C112" s="674"/>
      <c r="D112" s="674"/>
      <c r="E112" s="674"/>
      <c r="F112" s="674"/>
      <c r="G112" s="51"/>
      <c r="H112" s="51"/>
    </row>
    <row r="113" spans="1:8" ht="15.75">
      <c r="A113" s="662" t="s">
        <v>8</v>
      </c>
      <c r="B113" s="675" t="str">
        <f>authorName</f>
        <v>ОПТИМА ОДИТ АД</v>
      </c>
      <c r="C113" s="675"/>
      <c r="D113" s="675"/>
      <c r="E113" s="675"/>
      <c r="F113" s="675"/>
      <c r="G113" s="75"/>
      <c r="H113" s="75"/>
    </row>
    <row r="114" spans="1:8" ht="15.75">
      <c r="A114" s="662"/>
      <c r="B114" s="675"/>
      <c r="C114" s="675"/>
      <c r="D114" s="675"/>
      <c r="E114" s="675"/>
      <c r="F114" s="675"/>
      <c r="G114" s="75"/>
      <c r="H114" s="75"/>
    </row>
    <row r="115" spans="1:8" ht="15.75">
      <c r="A115" s="662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3"/>
      <c r="B116" s="673" t="s">
        <v>952</v>
      </c>
      <c r="C116" s="673"/>
      <c r="D116" s="673"/>
      <c r="E116" s="673"/>
      <c r="F116" s="673"/>
      <c r="G116" s="663"/>
      <c r="H116" s="663"/>
    </row>
    <row r="117" spans="1:8" ht="15.75" customHeight="1">
      <c r="A117" s="663"/>
      <c r="B117" s="673" t="s">
        <v>952</v>
      </c>
      <c r="C117" s="673"/>
      <c r="D117" s="673"/>
      <c r="E117" s="673"/>
      <c r="F117" s="673"/>
      <c r="G117" s="663"/>
      <c r="H117" s="663"/>
    </row>
    <row r="118" spans="1:8" ht="15.75" customHeight="1">
      <c r="A118" s="663"/>
      <c r="B118" s="673" t="s">
        <v>952</v>
      </c>
      <c r="C118" s="673"/>
      <c r="D118" s="673"/>
      <c r="E118" s="673"/>
      <c r="F118" s="673"/>
      <c r="G118" s="663"/>
      <c r="H118" s="663"/>
    </row>
    <row r="119" spans="1:8" ht="15.75" customHeight="1">
      <c r="A119" s="663"/>
      <c r="B119" s="673" t="s">
        <v>952</v>
      </c>
      <c r="C119" s="673"/>
      <c r="D119" s="673"/>
      <c r="E119" s="673"/>
      <c r="F119" s="673"/>
      <c r="G119" s="663"/>
      <c r="H119" s="663"/>
    </row>
    <row r="120" spans="1:8" ht="15.75">
      <c r="A120" s="663"/>
      <c r="B120" s="673"/>
      <c r="C120" s="673"/>
      <c r="D120" s="673"/>
      <c r="E120" s="673"/>
      <c r="F120" s="673"/>
      <c r="G120" s="663"/>
      <c r="H120" s="663"/>
    </row>
    <row r="121" spans="1:8" ht="15.75">
      <c r="A121" s="663"/>
      <c r="B121" s="673"/>
      <c r="C121" s="673"/>
      <c r="D121" s="673"/>
      <c r="E121" s="673"/>
      <c r="F121" s="673"/>
      <c r="G121" s="663"/>
      <c r="H121" s="663"/>
    </row>
    <row r="122" spans="1:8" ht="15.75">
      <c r="A122" s="663"/>
      <c r="B122" s="673"/>
      <c r="C122" s="673"/>
      <c r="D122" s="673"/>
      <c r="E122" s="673"/>
      <c r="F122" s="673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4">
        <f>pdeReportingDate</f>
        <v>42976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6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62" t="s">
        <v>8</v>
      </c>
      <c r="B33" s="675" t="str">
        <f>authorName</f>
        <v>ОПТИМА ОДИТ АД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62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2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3"/>
      <c r="B36" s="673" t="s">
        <v>952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3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3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3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3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3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3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57647</v>
      </c>
      <c r="D6" s="644">
        <f aca="true" t="shared" si="0" ref="D6:D15">C6-E6</f>
        <v>0</v>
      </c>
      <c r="E6" s="643">
        <f>'1-Баланс'!G95</f>
        <v>57647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2379</v>
      </c>
      <c r="D7" s="644">
        <f t="shared" si="0"/>
        <v>-3632</v>
      </c>
      <c r="E7" s="643">
        <f>'1-Баланс'!G18</f>
        <v>6011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-596</v>
      </c>
      <c r="D8" s="644">
        <f t="shared" si="0"/>
        <v>0</v>
      </c>
      <c r="E8" s="643">
        <f>ABS('2-Отчет за доходите'!C44)-ABS('2-Отчет за доходите'!G44)</f>
        <v>-596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412</v>
      </c>
      <c r="D9" s="644">
        <f t="shared" si="0"/>
        <v>0</v>
      </c>
      <c r="E9" s="643">
        <f>'3-Отчет за паричния поток'!C45</f>
        <v>412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301</v>
      </c>
      <c r="D10" s="644">
        <f t="shared" si="0"/>
        <v>0</v>
      </c>
      <c r="E10" s="643">
        <f>'3-Отчет за паричния поток'!C46</f>
        <v>301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2379</v>
      </c>
      <c r="D11" s="644">
        <f t="shared" si="0"/>
        <v>0</v>
      </c>
      <c r="E11" s="643">
        <f>'4-Отчет за собствения капитал'!L34</f>
        <v>2379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2017-08-29T14:31:52Z</dcterms:modified>
  <cp:category/>
  <cp:version/>
  <cp:contentType/>
  <cp:contentStatus/>
</cp:coreProperties>
</file>